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9207"/>
  <workbookPr defaultThemeVersion="166925"/>
  <xr:revisionPtr revIDLastSave="20" documentId="FB8DFA3353E9E17CA7F29841DE6A675E3C88B01E" xr6:coauthVersionLast="32" xr6:coauthVersionMax="32" xr10:uidLastSave="{0B2E930F-4652-4BAA-9F15-0273D46874BC}"/>
  <bookViews>
    <workbookView xWindow="0" yWindow="0" windowWidth="0" windowHeight="0" firstSheet="3" activeTab="3"/>
  </bookViews>
  <sheets>
    <sheet name="Iron" sheetId="1" r:id="rId1"/>
    <sheet name="BSA - Fish to Bed" sheetId="2" r:id="rId2"/>
    <sheet name="CO2" sheetId="3" r:id="rId3"/>
    <sheet name="HVAC" sheetId="4" r:id="rId4"/>
  </sheets>
  <calcPr calcId="179016"/>
</workbook>
</file>

<file path=xl/calcChain.xml><?xml version="1.0" encoding="utf-8"?>
<calcChain xmlns="http://schemas.openxmlformats.org/spreadsheetml/2006/main">
  <c r="G3" i="4" l="1"/>
  <c r="D25" i="4"/>
  <c r="D20" i="3"/>
  <c r="D18" i="3"/>
  <c r="G18" i="3"/>
  <c r="B23" i="2"/>
  <c r="E2" i="4"/>
  <c r="G2" i="4"/>
  <c r="E3" i="4"/>
  <c r="E4" i="4"/>
  <c r="G4" i="4"/>
  <c r="G6" i="4"/>
  <c r="G10" i="4"/>
  <c r="G11" i="4"/>
  <c r="G13" i="4"/>
  <c r="G18" i="4"/>
  <c r="G19" i="4"/>
  <c r="G21" i="4"/>
  <c r="B30" i="4"/>
  <c r="D27" i="4"/>
  <c r="D19" i="3"/>
  <c r="G19" i="3"/>
  <c r="D26" i="4"/>
  <c r="H20" i="3"/>
  <c r="H19" i="3"/>
  <c r="F19" i="3"/>
  <c r="H18" i="3"/>
  <c r="F18" i="3"/>
  <c r="B35" i="2"/>
  <c r="B32" i="2"/>
  <c r="B31" i="2"/>
  <c r="B30" i="2"/>
  <c r="B29" i="2"/>
  <c r="B28" i="2"/>
  <c r="B27" i="2"/>
  <c r="B26" i="2"/>
  <c r="B16" i="2"/>
  <c r="B13" i="2"/>
  <c r="B12" i="2"/>
  <c r="B11" i="2"/>
  <c r="B10" i="2"/>
  <c r="B9" i="2"/>
  <c r="B8" i="2"/>
  <c r="B7" i="2"/>
  <c r="B4" i="2"/>
  <c r="B18" i="1"/>
  <c r="B16" i="1"/>
  <c r="B8" i="1"/>
  <c r="B6" i="1"/>
</calcChain>
</file>

<file path=xl/comments1.xml><?xml version="1.0" encoding="utf-8"?>
<comments xmlns="http://schemas.openxmlformats.org/spreadsheetml/2006/main">
  <authors>
    <author>Damon Smith</author>
  </authors>
  <commentList>
    <comment ref="D9" authorId="0" shapeId="0">
      <text>
        <r>
          <rPr>
            <sz val="10"/>
            <color rgb="FF000000"/>
            <rFont val="Arial"/>
          </rPr>
          <t>This is a default for a hobby-size light. A commercial light is more likely to be in the 350 range.</t>
        </r>
      </text>
    </comment>
  </commentList>
</comments>
</file>

<file path=xl/sharedStrings.xml><?xml version="1.0" encoding="utf-8"?>
<sst xmlns="http://schemas.openxmlformats.org/spreadsheetml/2006/main" count="141" uniqueCount="103">
  <si>
    <t>Imperial</t>
  </si>
  <si>
    <t>Test</t>
  </si>
  <si>
    <t>Percentage of Iron</t>
  </si>
  <si>
    <t>Volume of Water (gallons)</t>
  </si>
  <si>
    <t>Hydroponics Output:</t>
  </si>
  <si>
    <t>Every two weeks, add</t>
  </si>
  <si>
    <t>oz for a desired concentration of 2.8ppm, however you should also consider using a foliar application if you use UV.</t>
  </si>
  <si>
    <t>Aquaponics Output:</t>
  </si>
  <si>
    <t>Every three weeks add</t>
  </si>
  <si>
    <t>oz for a desired concentration of 2ppm</t>
  </si>
  <si>
    <t>Metric</t>
  </si>
  <si>
    <t>grams for a desired concentration of 2.8ppm, however you should also consider using a foliar application if you use UV.</t>
  </si>
  <si>
    <t>grams for a desired concentration of 2ppm</t>
  </si>
  <si>
    <t>Key:</t>
  </si>
  <si>
    <t>Input</t>
  </si>
  <si>
    <t>Output</t>
  </si>
  <si>
    <t>Fish:</t>
  </si>
  <si>
    <t>lbs of fish</t>
  </si>
  <si>
    <t>Reccommended Gallons in Entire System</t>
  </si>
  <si>
    <t>Media:</t>
  </si>
  <si>
    <t>Type of Media:</t>
  </si>
  <si>
    <t>Required Bed Size in ft^3:</t>
  </si>
  <si>
    <t>Medium Sand (.12" diameter)</t>
  </si>
  <si>
    <t>Pea Gravel (.57" diameter)</t>
  </si>
  <si>
    <t>Rock (1" diameter)</t>
  </si>
  <si>
    <t>Large Rock (4" diameter)</t>
  </si>
  <si>
    <t>Plastic Biofilter Media (1" diameter)</t>
  </si>
  <si>
    <t>Plastic Biofilter Media (2" diameter)</t>
  </si>
  <si>
    <t>Plastic Biofilter Media (3.5" diameter)</t>
  </si>
  <si>
    <t>*If you're using A7, then you're required bed size is B7, if using A8, then required bed size is B8, etc.</t>
  </si>
  <si>
    <t>ZipGrow Towers:</t>
  </si>
  <si>
    <t>Number of 5' Towers</t>
  </si>
  <si>
    <t>Kg of fish</t>
  </si>
  <si>
    <t>Reccommended Liters in Entire System</t>
  </si>
  <si>
    <t>Required Bed Size in m^3:</t>
  </si>
  <si>
    <t>Medium Sand (.3048 cm diameter)</t>
  </si>
  <si>
    <t>Pea Gravel (1.4478 cm diameter)</t>
  </si>
  <si>
    <t>Rock (2.54 cm diameter)</t>
  </si>
  <si>
    <t>Large Rock (10.16 cm diameter)</t>
  </si>
  <si>
    <t>Plastic Biofilter Media (2.54 cm diameter)</t>
  </si>
  <si>
    <t>Plastic Biofilter Media (5.08 cm diameter)</t>
  </si>
  <si>
    <t>Plastic Biofilter Media (8.89 cm diameter)</t>
  </si>
  <si>
    <t>*If you're using A26, then you're required bed size is B26, if using A27, then required bed size is B27, etc.</t>
  </si>
  <si>
    <t>Plants Harvested Per Week:</t>
  </si>
  <si>
    <t>Leafy Greens</t>
  </si>
  <si>
    <t>lbs</t>
  </si>
  <si>
    <t>Herbs</t>
  </si>
  <si>
    <t>Woody Herbs</t>
  </si>
  <si>
    <t>Facility Volume (total):</t>
  </si>
  <si>
    <t>Length</t>
  </si>
  <si>
    <t>ft</t>
  </si>
  <si>
    <t>Width</t>
  </si>
  <si>
    <t>Height</t>
  </si>
  <si>
    <t>CO2 Concentration (PPM):</t>
  </si>
  <si>
    <t>Ambient</t>
  </si>
  <si>
    <t>Desired</t>
  </si>
  <si>
    <t>Ventilation:</t>
  </si>
  <si>
    <t>Number of Air Exchanges/Day</t>
  </si>
  <si>
    <t>Percent Loss (assume approx 15% unless air tight)</t>
  </si>
  <si>
    <t>CO2 Sources</t>
  </si>
  <si>
    <t>Cost Per</t>
  </si>
  <si>
    <t>Amount/Day</t>
  </si>
  <si>
    <t>Lbs Of H2O Produced/Day</t>
  </si>
  <si>
    <t>BTU Produced/Day</t>
  </si>
  <si>
    <t>Cost/Day</t>
  </si>
  <si>
    <t>Natural Gas</t>
  </si>
  <si>
    <t>1000 ft^3</t>
  </si>
  <si>
    <t>ft^3</t>
  </si>
  <si>
    <t>Propane</t>
  </si>
  <si>
    <t>Gal</t>
  </si>
  <si>
    <t>Bottled CO2</t>
  </si>
  <si>
    <t>Lbs</t>
  </si>
  <si>
    <t>None</t>
  </si>
  <si>
    <t>Voltage</t>
  </si>
  <si>
    <t>Amps Drawn</t>
  </si>
  <si>
    <t># of Motors</t>
  </si>
  <si>
    <t>Calculated Wattage</t>
  </si>
  <si>
    <t>Efficiency</t>
  </si>
  <si>
    <t>Heat Produced BTU/Hr</t>
  </si>
  <si>
    <t>Motor 1</t>
  </si>
  <si>
    <t>Motor 2</t>
  </si>
  <si>
    <t>Motor 3</t>
  </si>
  <si>
    <t>Total</t>
  </si>
  <si>
    <t>Lighting Brand</t>
  </si>
  <si>
    <t>Lighting Type</t>
  </si>
  <si>
    <t>Light Name</t>
  </si>
  <si>
    <t>Wattage</t>
  </si>
  <si>
    <t># of Lights</t>
  </si>
  <si>
    <t>BTUs Produced/Hr</t>
  </si>
  <si>
    <t>LED</t>
  </si>
  <si>
    <t>HID</t>
  </si>
  <si>
    <t>*LED efficiency default is 40%, HID efficiency default is 20%</t>
  </si>
  <si>
    <t>Ballast Brand</t>
  </si>
  <si>
    <t>Ballast Name</t>
  </si>
  <si>
    <t># of Ballasts</t>
  </si>
  <si>
    <t>BTUs Produced/hr</t>
  </si>
  <si>
    <t>*LED efficiency default is 90%, HID efficiency default is 85%</t>
  </si>
  <si>
    <t>CO2 Source</t>
  </si>
  <si>
    <t>Brand Name</t>
  </si>
  <si>
    <t>Size</t>
  </si>
  <si>
    <t>BTUs Produced/day</t>
  </si>
  <si>
    <t>Total BTUs Produced:</t>
  </si>
  <si>
    <t>*Formula in B30 assumes you are using Natural Gas. If you are using Propane, you will need to change the D25 in the formula to D26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</si>
</sst>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9">
    <font>
      <sz val="10"/>
      <color rgb="FF000000"/>
      <name val="Arial"/>
    </font>
    <font>
      <b/>
      <sz val="14"/>
      <name val="Arial"/>
    </font>
    <font>
      <sz val="10"/>
      <name val="Arial"/>
    </font>
    <font>
      <b/>
      <sz val="14"/>
      <color rgb="FF000000"/>
      <name val="Arial"/>
    </font>
    <font>
      <sz val="10"/>
      <color rgb="FF000000"/>
      <name val="Arial"/>
    </font>
    <font>
      <b/>
      <sz val="10"/>
      <name val="Arial"/>
    </font>
    <font>
      <b/>
      <sz val="10"/>
      <color rgb="FF000000"/>
      <name val="Arial"/>
    </font>
    <font>
      <sz val="11"/>
      <color rgb="FF000000"/>
      <name val="Arial"/>
    </font>
    <font>
      <sz val="10"/>
      <color rgb="FF000000"/>
      <name val="Monospace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3C47D"/>
        <bgColor rgb="FF93C47D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FF9900"/>
        <bgColor rgb="FFFF99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/>
    <xf numFmtId="0" fontId="3" fillId="0" borderId="0" xfId="0" applyFont="1" applyAlignment="1"/>
    <xf numFmtId="0" fontId="4" fillId="0" borderId="0" xfId="0" applyFont="1"/>
    <xf numFmtId="0" fontId="5" fillId="0" borderId="0" xfId="0" applyFont="1" applyAlignment="1"/>
    <xf numFmtId="0" fontId="6" fillId="0" borderId="0" xfId="0" applyFont="1" applyAlignment="1"/>
    <xf numFmtId="0" fontId="2" fillId="0" borderId="0" xfId="0" applyFont="1" applyAlignment="1"/>
    <xf numFmtId="0" fontId="4" fillId="0" borderId="0" xfId="0" applyFont="1" applyAlignment="1"/>
    <xf numFmtId="0" fontId="2" fillId="2" borderId="0" xfId="0" applyFont="1" applyFill="1" applyAlignment="1"/>
    <xf numFmtId="0" fontId="4" fillId="2" borderId="0" xfId="0" applyFont="1" applyFill="1" applyAlignment="1"/>
    <xf numFmtId="0" fontId="0" fillId="0" borderId="0" xfId="0" applyFont="1"/>
    <xf numFmtId="0" fontId="2" fillId="3" borderId="0" xfId="0" applyFont="1" applyFill="1"/>
    <xf numFmtId="0" fontId="0" fillId="0" borderId="0" xfId="0" applyFont="1" applyAlignment="1"/>
    <xf numFmtId="0" fontId="0" fillId="4" borderId="0" xfId="0" applyFont="1" applyFill="1" applyAlignment="1"/>
    <xf numFmtId="0" fontId="0" fillId="2" borderId="0" xfId="0" applyFont="1" applyFill="1" applyAlignment="1"/>
    <xf numFmtId="0" fontId="6" fillId="5" borderId="0" xfId="0" applyFont="1" applyFill="1" applyAlignment="1"/>
    <xf numFmtId="0" fontId="6" fillId="5" borderId="0" xfId="0" applyFont="1" applyFill="1"/>
    <xf numFmtId="0" fontId="6" fillId="0" borderId="0" xfId="0" applyFont="1"/>
    <xf numFmtId="164" fontId="4" fillId="2" borderId="0" xfId="0" applyNumberFormat="1" applyFont="1" applyFill="1" applyAlignment="1"/>
    <xf numFmtId="0" fontId="0" fillId="3" borderId="0" xfId="0" applyFont="1" applyFill="1"/>
    <xf numFmtId="0" fontId="4" fillId="3" borderId="0" xfId="0" applyFont="1" applyFill="1"/>
    <xf numFmtId="0" fontId="0" fillId="3" borderId="0" xfId="0" applyFont="1" applyFill="1" applyAlignment="1"/>
    <xf numFmtId="0" fontId="0" fillId="4" borderId="0" xfId="0" applyFont="1" applyFill="1" applyAlignment="1">
      <alignment wrapText="1"/>
    </xf>
    <xf numFmtId="164" fontId="4" fillId="3" borderId="0" xfId="0" applyNumberFormat="1" applyFont="1" applyFill="1"/>
    <xf numFmtId="164" fontId="4" fillId="2" borderId="0" xfId="0" applyNumberFormat="1" applyFont="1" applyFill="1"/>
    <xf numFmtId="164" fontId="7" fillId="3" borderId="0" xfId="0" applyNumberFormat="1" applyFont="1" applyFill="1"/>
    <xf numFmtId="0" fontId="8" fillId="3" borderId="0" xfId="0" applyFont="1" applyFill="1" applyAlignment="1">
      <alignment horizontal="left"/>
    </xf>
    <xf numFmtId="0" fontId="2" fillId="3" borderId="0" xfId="0" applyFont="1" applyFill="1" applyAlignment="1"/>
    <xf numFmtId="0" fontId="2" fillId="6" borderId="0" xfId="0" applyFont="1" applyFill="1" applyAlignment="1">
      <alignment wrapText="1"/>
    </xf>
    <xf numFmtId="0" fontId="5" fillId="5" borderId="0" xfId="0" applyFont="1" applyFill="1"/>
    <xf numFmtId="0" fontId="5" fillId="5" borderId="0" xfId="0" applyFont="1" applyFill="1" applyAlignment="1"/>
    <xf numFmtId="10" fontId="2" fillId="2" borderId="0" xfId="0" applyNumberFormat="1" applyFont="1" applyFill="1" applyAlignment="1"/>
    <xf numFmtId="0" fontId="2" fillId="2" borderId="0" xfId="0" applyFont="1" applyFill="1"/>
    <xf numFmtId="0" fontId="4" fillId="6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6" workbookViewId="0">
      <selection activeCell="B3" sqref="B3"/>
    </sheetView>
  </sheetViews>
  <sheetFormatPr defaultColWidth="14.42578125" defaultRowHeight="15.75" customHeight="1"/>
  <cols>
    <col min="1" max="1" width="22.140625" customWidth="1"/>
    <col min="3" max="3" width="43.85546875" customWidth="1"/>
  </cols>
  <sheetData>
    <row r="1" spans="1:26">
      <c r="A1" s="1" t="s">
        <v>0</v>
      </c>
      <c r="B1" s="13"/>
      <c r="C1" s="13" t="s">
        <v>1</v>
      </c>
      <c r="D1" s="13"/>
      <c r="E1" s="13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>
      <c r="A2" s="13" t="s">
        <v>2</v>
      </c>
      <c r="B2" s="15">
        <v>3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>
      <c r="A3" s="13" t="s">
        <v>3</v>
      </c>
      <c r="B3" s="15">
        <v>500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>
      <c r="A4" s="13"/>
      <c r="B4" s="13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>
      <c r="A5" s="6" t="s">
        <v>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ht="37.5" customHeight="1">
      <c r="A6" s="13" t="s">
        <v>5</v>
      </c>
      <c r="B6" s="22">
        <f>SUM((((B3 * (2.75/(B2/100))) / 1000) * 0.035274) * 3.78541)</f>
        <v>6.1199669822500002</v>
      </c>
      <c r="C6" s="23" t="s">
        <v>6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>
      <c r="A7" s="6" t="s">
        <v>7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39" customHeight="1">
      <c r="A8" s="14" t="s">
        <v>8</v>
      </c>
      <c r="B8" s="20">
        <f>SUM(((B3 * (2 / (B2/100))) / 1000) * 0.035274) * 3.78541</f>
        <v>4.4508850780000007</v>
      </c>
      <c r="C8" s="14" t="s">
        <v>9</v>
      </c>
      <c r="D8" s="13"/>
      <c r="E8" s="13"/>
      <c r="F8" s="13"/>
      <c r="G8" s="13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>
      <c r="A9" s="13"/>
      <c r="B9" s="13"/>
      <c r="C9" s="13"/>
      <c r="D9" s="13"/>
      <c r="E9" s="13"/>
      <c r="F9" s="13"/>
      <c r="G9" s="13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>
      <c r="A10" s="4"/>
      <c r="B10" s="13"/>
      <c r="C10" s="13"/>
      <c r="D10" s="13"/>
      <c r="E10" s="13"/>
      <c r="F10" s="13"/>
      <c r="G10" s="13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>
      <c r="A11" s="13"/>
      <c r="B11" s="13"/>
      <c r="C11" s="13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>
      <c r="A12" s="1" t="s">
        <v>10</v>
      </c>
      <c r="B12" s="13"/>
      <c r="C12" s="13"/>
      <c r="D12" s="11"/>
      <c r="E12" s="11"/>
      <c r="F12" s="4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>
      <c r="A13" s="13" t="s">
        <v>2</v>
      </c>
      <c r="B13" s="15">
        <v>7</v>
      </c>
      <c r="C13" s="13"/>
      <c r="D13" s="4"/>
      <c r="E13" s="4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>
      <c r="A14" s="13" t="s">
        <v>3</v>
      </c>
      <c r="B14" s="15">
        <v>1892</v>
      </c>
      <c r="C14" s="13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>
      <c r="A15" s="6" t="s">
        <v>4</v>
      </c>
      <c r="B15" s="13"/>
      <c r="C15" s="13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>
      <c r="A16" s="13" t="s">
        <v>5</v>
      </c>
      <c r="B16" s="20">
        <f>SUM(((B14 * (2.75/(B13/100))) / 1000))</f>
        <v>74.328571428571422</v>
      </c>
      <c r="C16" s="23" t="s">
        <v>11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>
      <c r="A17" s="6" t="s">
        <v>7</v>
      </c>
      <c r="B17" s="11"/>
      <c r="C17" s="14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>
      <c r="A18" s="14" t="s">
        <v>8</v>
      </c>
      <c r="B18" s="20">
        <f>SUM((B14 * (2 / (B13/100))) / 1000)</f>
        <v>54.057142857142857</v>
      </c>
      <c r="C18" s="14" t="s">
        <v>12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>
      <c r="A19" s="4"/>
      <c r="B19" s="4"/>
      <c r="C19" s="4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>
      <c r="A21" s="8" t="s">
        <v>13</v>
      </c>
      <c r="B21" s="13"/>
      <c r="C21" s="13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>
      <c r="A22" s="9" t="s">
        <v>14</v>
      </c>
      <c r="B22" s="13"/>
      <c r="C22" s="13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>
      <c r="A23" s="28" t="s">
        <v>15</v>
      </c>
      <c r="B23" s="13"/>
      <c r="C23" s="13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>
      <c r="A24" s="14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>
      <c r="A25" s="13"/>
      <c r="B25" s="13"/>
      <c r="C25" s="13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6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1:26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1:26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1:26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1:26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spans="1:26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1:26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spans="1:26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1:26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1:26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26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spans="1:26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1:26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spans="1:26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26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1:26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1:26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26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1:26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26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26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spans="1:26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6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1:26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spans="1:26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spans="1:26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spans="1:26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spans="1:26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spans="1:26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spans="1:26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spans="1:26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spans="1:26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spans="1:26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spans="1:26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spans="1:26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spans="1:26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spans="1:26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spans="1:26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spans="1:26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spans="1:26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spans="1:26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spans="1:26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spans="1:26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spans="1:26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spans="1:26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spans="1:26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spans="1:26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spans="1:26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spans="1:26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spans="1:26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spans="1:26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spans="1:26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spans="1:26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spans="1:26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spans="1:26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spans="1:26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spans="1:26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spans="1:26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spans="1:26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spans="1:26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spans="1:26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spans="1:26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spans="1:26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spans="1:26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spans="1:26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spans="1:26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spans="1:26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spans="1:26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spans="1:26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spans="1:26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spans="1:26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spans="1:26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spans="1:26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spans="1:26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spans="1:26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spans="1:26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spans="1:26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spans="1:26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spans="1:26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spans="1:26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spans="1:26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spans="1:26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spans="1:26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spans="1:26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spans="1:26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spans="1:26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spans="1:26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spans="1:26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spans="1:26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spans="1:26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spans="1:26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spans="1:26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spans="1:26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spans="1:26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spans="1:26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spans="1:26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spans="1:26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spans="1:26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spans="1:26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spans="1:26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spans="1:26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spans="1:26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spans="1:26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spans="1:26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spans="1:26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spans="1:26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spans="1:26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spans="1:26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spans="1:26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spans="1:26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spans="1:26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spans="1:26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spans="1:26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spans="1:26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spans="1:26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spans="1:26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spans="1:26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spans="1:26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spans="1:26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spans="1:26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spans="1:26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spans="1:26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spans="1:26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spans="1:26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spans="1:26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spans="1:26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spans="1:26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spans="1:26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spans="1:26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spans="1:26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spans="1:26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spans="1:26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spans="1:26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spans="1:26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spans="1:26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spans="1:26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spans="1:26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spans="1:26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spans="1:26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spans="1:26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spans="1:26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spans="1:26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spans="1:26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spans="1:26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spans="1:26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spans="1:26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spans="1:26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spans="1:26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spans="1:26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spans="1:26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spans="1:26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spans="1:26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spans="1:26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spans="1:26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spans="1:26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spans="1:26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spans="1:26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1:26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spans="1:26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spans="1:26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spans="1:26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spans="1:26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spans="1:26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spans="1:26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spans="1:26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spans="1:26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spans="1:26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spans="1:26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spans="1:26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spans="1:26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spans="1:26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spans="1:26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spans="1:26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spans="1:26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spans="1:26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spans="1:26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spans="1:26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spans="1:26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spans="1:26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spans="1:26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spans="1:26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spans="1:26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spans="1:26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spans="1:26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spans="1:26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spans="1:26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spans="1:26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spans="1:26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spans="1:26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spans="1:26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spans="1:26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spans="1:26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spans="1:26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spans="1:26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spans="1:26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spans="1:26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spans="1:26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spans="1:26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spans="1:26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spans="1:26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spans="1:26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spans="1:26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spans="1:26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spans="1:26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spans="1:26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spans="1:26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spans="1:26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spans="1:26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spans="1:26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spans="1:26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spans="1:26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spans="1:26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spans="1:26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spans="1:26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spans="1:26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spans="1:26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spans="1:26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spans="1:26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spans="1:26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spans="1:26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spans="1:26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spans="1:26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spans="1:26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spans="1:26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spans="1:26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spans="1:26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spans="1:26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spans="1:26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spans="1:26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spans="1:26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spans="1:26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spans="1:26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spans="1:26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spans="1:26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spans="1:26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spans="1:26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spans="1:26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spans="1:26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spans="1:26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spans="1:26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spans="1:26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spans="1:26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spans="1:26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spans="1:26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spans="1:26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spans="1:26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spans="1:26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spans="1:26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spans="1:26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spans="1:26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spans="1:26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spans="1:26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spans="1:26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spans="1:26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spans="1:26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spans="1:26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spans="1:26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spans="1:26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spans="1:26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spans="1:26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spans="1:26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spans="1:26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spans="1:26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spans="1:26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spans="1:26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spans="1:26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spans="1:26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spans="1:26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spans="1:26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spans="1:26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spans="1:26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spans="1:26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spans="1:26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spans="1:26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spans="1:26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spans="1:26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spans="1:26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spans="1:26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spans="1:26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spans="1:26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spans="1:26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spans="1:26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spans="1:26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spans="1:26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spans="1:26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spans="1:26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spans="1:26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spans="1:26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spans="1:26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spans="1:26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spans="1:26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spans="1:26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spans="1:26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spans="1:26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spans="1:26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spans="1:26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spans="1:26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spans="1:26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spans="1:26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spans="1:26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spans="1:26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spans="1:26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spans="1:26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spans="1:26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spans="1:26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spans="1:26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spans="1:26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spans="1:26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spans="1:26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spans="1:26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spans="1:26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spans="1:26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spans="1:26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spans="1:26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spans="1:26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spans="1:26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spans="1:26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spans="1:26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spans="1:26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spans="1:26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spans="1:26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spans="1:26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spans="1:26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spans="1:26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spans="1:26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spans="1:26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spans="1:26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spans="1:26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spans="1:26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spans="1:26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spans="1:26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spans="1:26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spans="1:26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spans="1:26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spans="1:26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spans="1:26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spans="1:26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spans="1:26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spans="1:26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spans="1:26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spans="1:26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spans="1:26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spans="1:26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spans="1:26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spans="1:26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spans="1:26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spans="1:26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spans="1:26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spans="1:26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spans="1:26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spans="1:26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spans="1:26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spans="1:26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spans="1:26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spans="1:26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spans="1:26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spans="1:26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spans="1:26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spans="1:26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spans="1:26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spans="1:26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spans="1:26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spans="1:26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spans="1:26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spans="1:26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spans="1:26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spans="1:26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spans="1:26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spans="1:26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spans="1:26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spans="1:26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spans="1:26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spans="1:26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spans="1:26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spans="1:26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spans="1:26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spans="1:26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spans="1:26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spans="1:26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spans="1:26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spans="1:26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spans="1:26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spans="1:26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spans="1:26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spans="1:26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spans="1:26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spans="1:26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spans="1:26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spans="1:26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spans="1:26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spans="1:26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spans="1:26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spans="1:26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spans="1:26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spans="1:26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spans="1:26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spans="1:26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spans="1:26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spans="1:26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spans="1:26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spans="1:26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spans="1:26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spans="1:26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spans="1:26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spans="1:26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spans="1:26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spans="1:26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spans="1:26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spans="1:26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spans="1:26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spans="1:26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spans="1:26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spans="1:26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spans="1:26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spans="1:26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spans="1:26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1:26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1:26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1:26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1:26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1:26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1:26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1:26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1:26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1:26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1:26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1:26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1:26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1:26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1:26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1:26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1:26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1:26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1:26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1:26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1:26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1:26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1:26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1:26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1:26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1:26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1:26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1:26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1:26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1:26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1:26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1:26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1:26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1:26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1:26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1:26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1:26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1:26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1:26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1:26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1:26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1:26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1:26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1:26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1:26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1:26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1:26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1:26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1:26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1:26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1:26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1:26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1:26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1:26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1:26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1:26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1:26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1:26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1:26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1:26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1:26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1:26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1:26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1:26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1:26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1:26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1:26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1:26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1:26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1:26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1:26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1:26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1:26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1:26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1:26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1:26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1:26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1:26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1:26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1:26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1:26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1:26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1:26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1:26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1:26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1:26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1:26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1:26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1:26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1:26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1:26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1:26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1:26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1:26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1:26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1:26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1:26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1:26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1:26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1:26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1:26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1:26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1:26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1:26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1:26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1:26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1:26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1:26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1:26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1:26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1:26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1:26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1:26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1:26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1:26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1:26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1:26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1:26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1:26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1:26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1:26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1:26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1:26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1:26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1:26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1:26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1:26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1:26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1:26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1:26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1:26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1:26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1:26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1:26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1:26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1:26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1:26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1:26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1:26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1:26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1:26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1:26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1:26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1:26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1:26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1:26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1:26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1:26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1:26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1:26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1:26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1:26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1:26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1:26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1:26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1:26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1:26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1:26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1:26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1:26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1:26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1:26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1:26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1:26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1:26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1:26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1:26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1:26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1:26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1:26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1:26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1:26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1:26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1:26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1:26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1:26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1:26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1:26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1:26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1:26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1:26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1:26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1:26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1:26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1:26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1:26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1:26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1:26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1:26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1:26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1:26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1:26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1:26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1:26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1:26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1:26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1:26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1:26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1:26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1:26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1:26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1:26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1:26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1:26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1:26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1:26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1:26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1:26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1:26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1:26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1:26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1:26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1:26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1:26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1:26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1:26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1:26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1:26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1:26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1:26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1:26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1:26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1:26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1:26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1:26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1:26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1:26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1:26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1:26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1:26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1:26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1:26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1:26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1:26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1:26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1:26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1:26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1:26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1:26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1:26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1:26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1:26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1:26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1:26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1:26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1:26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1:26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1:26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1:26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1:26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1:26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1:26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1:26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1:26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1:26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1:26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1:26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1:26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1:26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1:26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1:26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1:26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1:26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1:26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1:26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1:26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1:26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1:26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1:26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1:26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1:26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1:26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1:26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1:26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1:26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1:26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1:26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1:26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1:26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1:26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1:26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1:26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1:26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1:26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1:26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1:26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1:26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1:26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1:26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1:26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1:26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1:26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1:26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1:26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1:26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1:26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1:26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1:26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1:26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1:26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1:26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1:26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1:26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1:26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1:26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1:26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1:26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1:26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1:26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1:26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1:26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1:26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1:26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1:26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1:26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1:26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1:26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1:26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1:26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1:26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1:26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1:26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1:26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1:26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1:26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1:26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1:26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1:26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1:26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1:26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1:26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1:26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1:26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1:26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1:26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1:26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1:26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1:26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1:26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1:26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1:26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1:26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1:26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1:26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1:26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1:26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1:26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1:26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1:26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1:26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1:26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1:26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1:26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1:26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1:26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1:26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1:26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1:26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1:26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1:26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1:26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1:26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1:26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1:26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1:26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1:26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1:26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1:26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1:26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1:26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1:26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1:26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1:26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1:26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1:26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1:26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1:26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1:26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1:26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1:26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1:26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1:26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1:26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1:26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1:26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1:26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1:26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1:26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1:26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1:26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1:26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1:26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1:26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1:26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1:26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1:26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1:26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1:26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1:26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1:26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1:26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1:26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1:26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1:26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1:26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1:26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1:26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1:26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1:26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1:26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1:26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1:26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1:26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spans="1:26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spans="1:26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spans="1:26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spans="1:26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spans="1:26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spans="1:26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spans="1:26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spans="1:26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spans="1:26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spans="1:26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spans="1:26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spans="1:26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spans="1:26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spans="1:26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spans="1:26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spans="1:26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spans="1:26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spans="1:26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spans="1:26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spans="1:26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spans="1:26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spans="1:26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spans="1:26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spans="1:26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spans="1:26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spans="1:26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spans="1:26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spans="1:26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spans="1:26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spans="1:26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spans="1:26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spans="1:26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spans="1:26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spans="1:26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spans="1:26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spans="1:26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spans="1:26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spans="1:26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spans="1:26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spans="1:26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spans="1:26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spans="1:26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spans="1:26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spans="1:26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spans="1:26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spans="1:26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spans="1:26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spans="1:26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spans="1:26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spans="1:26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spans="1:26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spans="1:26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spans="1:26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spans="1:26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spans="1:26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spans="1:26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spans="1:26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spans="1:26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spans="1:26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spans="1:26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spans="1:26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spans="1:26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spans="1:26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spans="1:26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spans="1:26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spans="1:26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spans="1:26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spans="1:26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spans="1:26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spans="1:26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spans="1:26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spans="1:26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spans="1:26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spans="1:26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spans="1:26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spans="1:26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spans="1:26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spans="1:26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spans="1:26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spans="1:26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spans="1:26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spans="1:26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spans="1:26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spans="1:26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spans="1:26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spans="1:26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spans="1:26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spans="1:26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spans="1:26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spans="1:26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spans="1:26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spans="1:26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spans="1:26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spans="1:26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spans="1:26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spans="1:26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spans="1:26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spans="1:26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spans="1:26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spans="1:26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spans="1:26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spans="1:26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spans="1:26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spans="1:26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spans="1:26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spans="1:26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spans="1:26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spans="1:26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spans="1:26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spans="1:26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spans="1:26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spans="1:26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spans="1:26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spans="1:26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spans="1:26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spans="1:26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spans="1:26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spans="1:26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spans="1:26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spans="1:26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spans="1:26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spans="1:26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spans="1:26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spans="1:26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spans="1:26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spans="1:26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 spans="1:26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 spans="1:26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  <row r="998" spans="1:26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</row>
    <row r="999" spans="1:26">
      <c r="A999" s="11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</row>
    <row r="1000" spans="1:26">
      <c r="A1000" s="11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</row>
  </sheetData>
  <pageMargins left="0" right="0" top="0" bottom="0" header="0" footer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>
      <selection activeCell="B4" sqref="B4"/>
    </sheetView>
  </sheetViews>
  <sheetFormatPr defaultColWidth="14.42578125" defaultRowHeight="15.75" customHeight="1"/>
  <cols>
    <col min="1" max="1" width="36" customWidth="1"/>
    <col min="2" max="2" width="22.85546875" customWidth="1"/>
  </cols>
  <sheetData>
    <row r="1" spans="1:3">
      <c r="A1" s="1" t="s">
        <v>0</v>
      </c>
      <c r="B1" s="2"/>
      <c r="C1" s="2"/>
    </row>
    <row r="2" spans="1:3">
      <c r="A2" s="5" t="s">
        <v>16</v>
      </c>
      <c r="B2" s="2"/>
      <c r="C2" s="2"/>
    </row>
    <row r="3" spans="1:3">
      <c r="A3" s="7" t="s">
        <v>17</v>
      </c>
      <c r="B3" s="9">
        <v>500</v>
      </c>
      <c r="C3" s="2"/>
    </row>
    <row r="4" spans="1:3">
      <c r="A4" s="7" t="s">
        <v>18</v>
      </c>
      <c r="B4" s="12">
        <f>SUM(B3 * 10)</f>
        <v>5000</v>
      </c>
      <c r="C4" s="2"/>
    </row>
    <row r="5" spans="1:3">
      <c r="A5" s="5" t="s">
        <v>19</v>
      </c>
      <c r="B5" s="2"/>
      <c r="C5" s="13"/>
    </row>
    <row r="6" spans="1:3">
      <c r="A6" s="7" t="s">
        <v>20</v>
      </c>
      <c r="B6" s="7" t="s">
        <v>21</v>
      </c>
      <c r="C6" s="2"/>
    </row>
    <row r="7" spans="1:3">
      <c r="A7" s="7" t="s">
        <v>22</v>
      </c>
      <c r="B7" s="12">
        <f>SUM((B3 * 100)/270)</f>
        <v>185.18518518518519</v>
      </c>
      <c r="C7" s="2"/>
    </row>
    <row r="8" spans="1:3">
      <c r="A8" s="7" t="s">
        <v>23</v>
      </c>
      <c r="B8" s="20">
        <f>SUM((B3 * 100)/85)</f>
        <v>588.23529411764707</v>
      </c>
      <c r="C8" s="2"/>
    </row>
    <row r="9" spans="1:3">
      <c r="A9" s="7" t="s">
        <v>24</v>
      </c>
      <c r="B9" s="20">
        <f>SUM((B3 * 100)/21)</f>
        <v>2380.9523809523807</v>
      </c>
      <c r="C9" s="2"/>
    </row>
    <row r="10" spans="1:3">
      <c r="A10" s="7" t="s">
        <v>25</v>
      </c>
      <c r="B10" s="20">
        <f>SUM((B3 * 100)/12)</f>
        <v>4166.666666666667</v>
      </c>
      <c r="C10" s="2"/>
    </row>
    <row r="11" spans="1:3">
      <c r="A11" s="7" t="s">
        <v>26</v>
      </c>
      <c r="B11" s="20">
        <f>SUM((B3 * 100)/85)</f>
        <v>588.23529411764707</v>
      </c>
      <c r="C11" s="2"/>
    </row>
    <row r="12" spans="1:3">
      <c r="A12" s="7" t="s">
        <v>27</v>
      </c>
      <c r="B12" s="20">
        <f>SUM((B3 * 100)/48)</f>
        <v>1041.6666666666667</v>
      </c>
      <c r="C12" s="2"/>
    </row>
    <row r="13" spans="1:3">
      <c r="A13" s="7" t="s">
        <v>28</v>
      </c>
      <c r="B13" s="20">
        <f>SUM((B3 * 100)/38)</f>
        <v>1315.7894736842106</v>
      </c>
      <c r="C13" s="2"/>
    </row>
    <row r="14" spans="1:3" ht="50.25" customHeight="1">
      <c r="A14" s="29" t="s">
        <v>29</v>
      </c>
      <c r="B14" s="13"/>
      <c r="C14" s="13"/>
    </row>
    <row r="15" spans="1:3">
      <c r="A15" s="5" t="s">
        <v>30</v>
      </c>
      <c r="B15" s="13"/>
      <c r="C15" s="13"/>
    </row>
    <row r="16" spans="1:3">
      <c r="A16" s="7" t="s">
        <v>31</v>
      </c>
      <c r="B16" s="12">
        <f>SUM((B3 * 100)/(290*0.55))</f>
        <v>313.47962382445144</v>
      </c>
      <c r="C16" s="13"/>
    </row>
    <row r="20" spans="1:2">
      <c r="A20" s="1" t="s">
        <v>10</v>
      </c>
      <c r="B20" s="13"/>
    </row>
    <row r="21" spans="1:2">
      <c r="A21" s="5" t="s">
        <v>16</v>
      </c>
      <c r="B21" s="2"/>
    </row>
    <row r="22" spans="1:2">
      <c r="A22" s="7" t="s">
        <v>32</v>
      </c>
      <c r="B22" s="9">
        <v>0.45300000000000001</v>
      </c>
    </row>
    <row r="23" spans="1:2">
      <c r="A23" s="7" t="s">
        <v>33</v>
      </c>
      <c r="B23" s="12">
        <f>SUM(B22 *83.56)</f>
        <v>37.852679999999999</v>
      </c>
    </row>
    <row r="24" spans="1:2">
      <c r="A24" s="5" t="s">
        <v>19</v>
      </c>
      <c r="B24" s="2"/>
    </row>
    <row r="25" spans="1:2">
      <c r="A25" s="7" t="s">
        <v>20</v>
      </c>
      <c r="B25" s="7" t="s">
        <v>34</v>
      </c>
    </row>
    <row r="26" spans="1:2">
      <c r="A26" s="7" t="s">
        <v>35</v>
      </c>
      <c r="B26" s="12">
        <f>SUM((B22 * 100)/270)</f>
        <v>0.1677777777777778</v>
      </c>
    </row>
    <row r="27" spans="1:2">
      <c r="A27" s="7" t="s">
        <v>36</v>
      </c>
      <c r="B27" s="20">
        <f>SUM((B22 * 100)/85)</f>
        <v>0.53294117647058825</v>
      </c>
    </row>
    <row r="28" spans="1:2">
      <c r="A28" s="7" t="s">
        <v>37</v>
      </c>
      <c r="B28" s="20">
        <f>SUM((B22 * 100)/21)</f>
        <v>2.1571428571428575</v>
      </c>
    </row>
    <row r="29" spans="1:2">
      <c r="A29" s="7" t="s">
        <v>38</v>
      </c>
      <c r="B29" s="20">
        <f>SUM((B22 * 100)/12)</f>
        <v>3.7750000000000004</v>
      </c>
    </row>
    <row r="30" spans="1:2">
      <c r="A30" s="7" t="s">
        <v>39</v>
      </c>
      <c r="B30" s="20">
        <f>SUM((B22 * 100)/85)</f>
        <v>0.53294117647058825</v>
      </c>
    </row>
    <row r="31" spans="1:2">
      <c r="A31" s="7" t="s">
        <v>40</v>
      </c>
      <c r="B31" s="20">
        <f>SUM((B22 * 100)/48)</f>
        <v>0.94375000000000009</v>
      </c>
    </row>
    <row r="32" spans="1:2">
      <c r="A32" s="7" t="s">
        <v>41</v>
      </c>
      <c r="B32" s="20">
        <f>SUM((B22 * 100)/38)</f>
        <v>1.1921052631578948</v>
      </c>
    </row>
    <row r="33" spans="1:2" ht="42" customHeight="1">
      <c r="A33" s="29" t="s">
        <v>42</v>
      </c>
      <c r="B33" s="13"/>
    </row>
    <row r="34" spans="1:2">
      <c r="A34" s="5" t="s">
        <v>30</v>
      </c>
      <c r="B34" s="13"/>
    </row>
    <row r="35" spans="1:2">
      <c r="A35" s="7" t="s">
        <v>31</v>
      </c>
      <c r="B35" s="12">
        <f>SUM((B22 * 100)/(290*0.55))</f>
        <v>0.28401253918495301</v>
      </c>
    </row>
    <row r="38" spans="1:2">
      <c r="A38" s="8" t="s">
        <v>13</v>
      </c>
      <c r="B38" s="13"/>
    </row>
    <row r="39" spans="1:2">
      <c r="A39" s="9" t="s">
        <v>14</v>
      </c>
      <c r="B39" s="13"/>
    </row>
    <row r="40" spans="1:2">
      <c r="A40" s="28" t="s">
        <v>15</v>
      </c>
      <c r="B40" s="13"/>
    </row>
  </sheetData>
  <pageMargins left="0" right="0" top="0" bottom="0" header="0" footer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12" workbookViewId="0">
      <selection activeCell="G17" sqref="G17"/>
    </sheetView>
  </sheetViews>
  <sheetFormatPr defaultColWidth="14.42578125" defaultRowHeight="15.75" customHeight="1"/>
  <cols>
    <col min="1" max="1" width="44.7109375" bestFit="1" customWidth="1"/>
    <col min="3" max="3" width="9.7109375" customWidth="1"/>
    <col min="4" max="4" width="12" customWidth="1"/>
    <col min="5" max="5" width="5.28515625" customWidth="1"/>
    <col min="6" max="6" width="23.5703125" customWidth="1"/>
    <col min="7" max="7" width="17.85546875" customWidth="1"/>
  </cols>
  <sheetData>
    <row r="1" spans="1:26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>
      <c r="A2" s="6" t="s">
        <v>43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>
      <c r="A3" s="8" t="s">
        <v>44</v>
      </c>
      <c r="B3" s="10">
        <v>100</v>
      </c>
      <c r="C3" s="8" t="s">
        <v>45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>
      <c r="A4" s="8" t="s">
        <v>46</v>
      </c>
      <c r="B4" s="10">
        <v>20</v>
      </c>
      <c r="C4" s="8" t="s">
        <v>45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>
      <c r="A5" s="8" t="s">
        <v>47</v>
      </c>
      <c r="B5" s="10">
        <v>5</v>
      </c>
      <c r="C5" s="8" t="s">
        <v>45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>
      <c r="A6" s="6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>
      <c r="A7" s="8" t="s">
        <v>49</v>
      </c>
      <c r="B7" s="10">
        <v>20</v>
      </c>
      <c r="C7" s="8" t="s">
        <v>50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>
      <c r="A8" s="8" t="s">
        <v>51</v>
      </c>
      <c r="B8" s="10">
        <v>17</v>
      </c>
      <c r="C8" s="8" t="s">
        <v>50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>
      <c r="A9" s="8" t="s">
        <v>52</v>
      </c>
      <c r="B9" s="10">
        <v>12</v>
      </c>
      <c r="C9" s="8" t="s">
        <v>50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>
      <c r="A10" s="6" t="s">
        <v>53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>
      <c r="A11" s="8" t="s">
        <v>54</v>
      </c>
      <c r="B11" s="10">
        <v>390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>
      <c r="A12" s="8" t="s">
        <v>55</v>
      </c>
      <c r="B12" s="10">
        <v>1200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>
      <c r="A13" s="6" t="s">
        <v>56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>
      <c r="A14" s="14" t="s">
        <v>57</v>
      </c>
      <c r="B14" s="10">
        <v>4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>
      <c r="A15" s="14" t="s">
        <v>58</v>
      </c>
      <c r="B15" s="10">
        <v>15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>
      <c r="A17" s="16" t="s">
        <v>59</v>
      </c>
      <c r="B17" s="16" t="s">
        <v>60</v>
      </c>
      <c r="C17" s="17"/>
      <c r="D17" s="16" t="s">
        <v>61</v>
      </c>
      <c r="E17" s="17"/>
      <c r="F17" s="16" t="s">
        <v>62</v>
      </c>
      <c r="G17" s="16" t="s">
        <v>63</v>
      </c>
      <c r="H17" s="16" t="s">
        <v>64</v>
      </c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>
      <c r="A18" s="8" t="s">
        <v>65</v>
      </c>
      <c r="B18" s="19">
        <v>12.5</v>
      </c>
      <c r="C18" s="8" t="s">
        <v>66</v>
      </c>
      <c r="D18" s="21">
        <f>SUM(D20 / 0.12)</f>
        <v>40.885393281400262</v>
      </c>
      <c r="E18" s="8" t="s">
        <v>67</v>
      </c>
      <c r="F18" s="21">
        <f>SUM(D20 * 0.818696176)</f>
        <v>4.0167258160486181</v>
      </c>
      <c r="G18" s="21">
        <f>SUM(D18 * 1028)</f>
        <v>42030.184293279468</v>
      </c>
      <c r="H18" s="24">
        <f>SUM(D18 *(B18/1000))</f>
        <v>0.51106741601750327</v>
      </c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>
      <c r="A19" s="8" t="s">
        <v>68</v>
      </c>
      <c r="B19" s="25">
        <v>3</v>
      </c>
      <c r="C19" s="8" t="s">
        <v>69</v>
      </c>
      <c r="D19" s="21">
        <f>SUM(D20 / 12.7)</f>
        <v>0.38631867667464814</v>
      </c>
      <c r="E19" s="8" t="s">
        <v>69</v>
      </c>
      <c r="F19" s="21">
        <f>SUM(D20 * 0.545797451)</f>
        <v>2.6778172123344945</v>
      </c>
      <c r="G19" s="21">
        <f>SUM(D19 * 91500)</f>
        <v>35348.158915730302</v>
      </c>
      <c r="H19" s="26">
        <f t="shared" ref="H19:H20" si="0">SUM(D19 *(B19))</f>
        <v>1.1589560300239445</v>
      </c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>
      <c r="A20" s="8" t="s">
        <v>70</v>
      </c>
      <c r="B20" s="25">
        <v>1.5</v>
      </c>
      <c r="C20" s="8" t="s">
        <v>71</v>
      </c>
      <c r="D20" s="21">
        <f>SUM((((B14 * (((B7 * B8 * B9) - B11) * B12 / 1000000)) + (((B3 * ((1 - 0.95) * 0.49) / 7) + (B4 * ((1 - 0.87) * 0.46) / 7) + (B5 * ((1 - 0.8) * 0.45) / 7)) * 3.664057947 * 8.741)) / (1 - B15 / 100)) / 8.741)</f>
        <v>4.9062471937680314</v>
      </c>
      <c r="E20" s="8" t="s">
        <v>71</v>
      </c>
      <c r="F20" s="8" t="s">
        <v>72</v>
      </c>
      <c r="G20" s="8" t="s">
        <v>72</v>
      </c>
      <c r="H20" s="24">
        <f t="shared" si="0"/>
        <v>7.3593707906520471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>
      <c r="A23" s="8" t="s">
        <v>13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>
      <c r="A24" s="9" t="s">
        <v>14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>
      <c r="A25" s="28" t="s">
        <v>15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pageMargins left="0" right="0" top="0" bottom="0" header="0" footer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2"/>
  <sheetViews>
    <sheetView tabSelected="1" workbookViewId="0">
      <selection activeCell="I7" sqref="I7"/>
    </sheetView>
  </sheetViews>
  <sheetFormatPr defaultColWidth="14.42578125" defaultRowHeight="15.75" customHeight="1"/>
  <cols>
    <col min="1" max="1" width="20.140625" customWidth="1"/>
    <col min="4" max="4" width="20.140625" customWidth="1"/>
    <col min="5" max="5" width="17.5703125" customWidth="1"/>
    <col min="7" max="7" width="20.85546875" customWidth="1"/>
  </cols>
  <sheetData>
    <row r="1" spans="1:9">
      <c r="A1" s="30"/>
      <c r="B1" s="31" t="s">
        <v>73</v>
      </c>
      <c r="C1" s="31" t="s">
        <v>74</v>
      </c>
      <c r="D1" s="31" t="s">
        <v>75</v>
      </c>
      <c r="E1" s="31" t="s">
        <v>76</v>
      </c>
      <c r="F1" s="31" t="s">
        <v>77</v>
      </c>
      <c r="G1" s="31" t="s">
        <v>78</v>
      </c>
      <c r="H1" s="13"/>
      <c r="I1" s="13"/>
    </row>
    <row r="2" spans="1:9">
      <c r="A2" s="7" t="s">
        <v>79</v>
      </c>
      <c r="B2" s="9">
        <v>30</v>
      </c>
      <c r="C2" s="9">
        <v>20</v>
      </c>
      <c r="D2" s="9">
        <v>2</v>
      </c>
      <c r="E2" s="12">
        <f t="shared" ref="E2:E4" si="0">SUM(B2 * C2)</f>
        <v>600</v>
      </c>
      <c r="F2" s="32">
        <v>0.85</v>
      </c>
      <c r="G2" s="12">
        <f t="shared" ref="G2:G4" si="1">SUM(E2 * (1 - F2) * 3.41 * D2)</f>
        <v>613.80000000000007</v>
      </c>
      <c r="H2" s="13"/>
      <c r="I2" s="13"/>
    </row>
    <row r="3" spans="1:9">
      <c r="A3" s="7" t="s">
        <v>80</v>
      </c>
      <c r="B3" s="9">
        <v>35</v>
      </c>
      <c r="C3" s="9">
        <v>25</v>
      </c>
      <c r="D3" s="9">
        <v>1</v>
      </c>
      <c r="E3" s="12">
        <f t="shared" si="0"/>
        <v>875</v>
      </c>
      <c r="F3" s="32">
        <v>0.85</v>
      </c>
      <c r="G3" s="12">
        <f>SUM(E3 * (1 - F3) * 3.41 * D3)</f>
        <v>447.56250000000011</v>
      </c>
      <c r="H3" s="13"/>
      <c r="I3" s="13"/>
    </row>
    <row r="4" spans="1:9">
      <c r="A4" s="7" t="s">
        <v>81</v>
      </c>
      <c r="B4" s="9"/>
      <c r="C4" s="9"/>
      <c r="D4" s="9"/>
      <c r="E4" s="12">
        <f t="shared" si="0"/>
        <v>0</v>
      </c>
      <c r="F4" s="32">
        <v>0.85</v>
      </c>
      <c r="G4" s="12">
        <f t="shared" si="1"/>
        <v>0</v>
      </c>
      <c r="H4" s="13"/>
      <c r="I4" s="13"/>
    </row>
    <row r="6" spans="1:9">
      <c r="A6" s="7" t="s">
        <v>82</v>
      </c>
      <c r="B6" s="13"/>
      <c r="C6" s="13"/>
      <c r="D6" s="13"/>
      <c r="E6" s="13"/>
      <c r="F6" s="13"/>
      <c r="G6" s="12">
        <f>SUM(G2 + G3 + G4)</f>
        <v>1061.3625000000002</v>
      </c>
      <c r="H6" s="13"/>
      <c r="I6" s="13"/>
    </row>
    <row r="9" spans="1:9">
      <c r="A9" s="31" t="s">
        <v>83</v>
      </c>
      <c r="B9" s="31" t="s">
        <v>84</v>
      </c>
      <c r="C9" s="31" t="s">
        <v>85</v>
      </c>
      <c r="D9" s="31" t="s">
        <v>86</v>
      </c>
      <c r="E9" s="31" t="s">
        <v>77</v>
      </c>
      <c r="F9" s="31" t="s">
        <v>87</v>
      </c>
      <c r="G9" s="31" t="s">
        <v>88</v>
      </c>
      <c r="H9" s="7"/>
      <c r="I9" s="7"/>
    </row>
    <row r="10" spans="1:9">
      <c r="A10" s="33"/>
      <c r="B10" s="9" t="s">
        <v>89</v>
      </c>
      <c r="C10" s="33"/>
      <c r="D10" s="9">
        <v>30</v>
      </c>
      <c r="E10" s="32">
        <v>0.4</v>
      </c>
      <c r="F10" s="9">
        <v>2</v>
      </c>
      <c r="G10" s="12">
        <f t="shared" ref="G10:G11" si="2">SUM(D10 * (1 - E10) * 3.41 * F10)</f>
        <v>122.76</v>
      </c>
      <c r="H10" s="13"/>
      <c r="I10" s="13"/>
    </row>
    <row r="11" spans="1:9">
      <c r="A11" s="33"/>
      <c r="B11" s="9" t="s">
        <v>90</v>
      </c>
      <c r="C11" s="33"/>
      <c r="D11" s="9">
        <v>30</v>
      </c>
      <c r="E11" s="32">
        <v>0.2</v>
      </c>
      <c r="F11" s="9">
        <v>2</v>
      </c>
      <c r="G11" s="12">
        <f t="shared" si="2"/>
        <v>163.68</v>
      </c>
      <c r="H11" s="13"/>
      <c r="I11" s="13"/>
    </row>
    <row r="13" spans="1:9">
      <c r="A13" s="7" t="s">
        <v>82</v>
      </c>
      <c r="B13" s="13"/>
      <c r="C13" s="13"/>
      <c r="D13" s="13"/>
      <c r="E13" s="13"/>
      <c r="F13" s="13"/>
      <c r="G13" s="12">
        <f>SUM(G10 + G11)</f>
        <v>286.44</v>
      </c>
      <c r="H13" s="13"/>
      <c r="I13" s="13"/>
    </row>
    <row r="14" spans="1:9" ht="46.5" customHeight="1">
      <c r="A14" s="34" t="s">
        <v>91</v>
      </c>
      <c r="B14" s="13"/>
      <c r="C14" s="13"/>
      <c r="D14" s="13"/>
      <c r="E14" s="13"/>
      <c r="F14" s="13"/>
      <c r="G14" s="13"/>
      <c r="H14" s="13"/>
      <c r="I14" s="13"/>
    </row>
    <row r="17" spans="1:7">
      <c r="A17" s="31" t="s">
        <v>92</v>
      </c>
      <c r="B17" s="31" t="s">
        <v>84</v>
      </c>
      <c r="C17" s="31" t="s">
        <v>93</v>
      </c>
      <c r="D17" s="31" t="s">
        <v>86</v>
      </c>
      <c r="E17" s="31" t="s">
        <v>77</v>
      </c>
      <c r="F17" s="31" t="s">
        <v>94</v>
      </c>
      <c r="G17" s="31" t="s">
        <v>95</v>
      </c>
    </row>
    <row r="18" spans="1:7">
      <c r="A18" s="33"/>
      <c r="B18" s="9" t="s">
        <v>89</v>
      </c>
      <c r="C18" s="33"/>
      <c r="D18" s="9">
        <v>35</v>
      </c>
      <c r="E18" s="32">
        <v>0.9</v>
      </c>
      <c r="F18" s="9">
        <v>2</v>
      </c>
      <c r="G18" s="12">
        <f t="shared" ref="G18:G19" si="3">SUM(D18 * (1 - E18) * 3.41 * F18)</f>
        <v>23.869999999999994</v>
      </c>
    </row>
    <row r="19" spans="1:7">
      <c r="A19" s="33"/>
      <c r="B19" s="9" t="s">
        <v>90</v>
      </c>
      <c r="C19" s="33"/>
      <c r="D19" s="9">
        <v>35</v>
      </c>
      <c r="E19" s="32">
        <v>0.85</v>
      </c>
      <c r="F19" s="9">
        <v>2</v>
      </c>
      <c r="G19" s="12">
        <f t="shared" si="3"/>
        <v>35.805000000000007</v>
      </c>
    </row>
    <row r="21" spans="1:7">
      <c r="A21" s="7" t="s">
        <v>82</v>
      </c>
      <c r="B21" s="13"/>
      <c r="C21" s="13"/>
      <c r="D21" s="13"/>
      <c r="E21" s="13"/>
      <c r="F21" s="13"/>
      <c r="G21" s="12">
        <f>SUM(G18 + G19)</f>
        <v>59.674999999999997</v>
      </c>
    </row>
    <row r="22" spans="1:7" ht="34.5" customHeight="1">
      <c r="A22" s="29" t="s">
        <v>96</v>
      </c>
      <c r="B22" s="13"/>
      <c r="C22" s="13"/>
      <c r="D22" s="13"/>
      <c r="E22" s="13"/>
      <c r="F22" s="13"/>
      <c r="G22" s="13"/>
    </row>
    <row r="24" spans="1:7">
      <c r="A24" s="31" t="s">
        <v>97</v>
      </c>
      <c r="B24" s="31" t="s">
        <v>98</v>
      </c>
      <c r="C24" s="31" t="s">
        <v>99</v>
      </c>
      <c r="D24" s="31" t="s">
        <v>100</v>
      </c>
      <c r="E24" s="13"/>
      <c r="F24" s="13"/>
      <c r="G24" s="13"/>
    </row>
    <row r="25" spans="1:7" ht="12.75">
      <c r="A25" s="7" t="s">
        <v>65</v>
      </c>
      <c r="B25" s="33"/>
      <c r="C25" s="33"/>
      <c r="D25" s="27">
        <f>'CO2'!G18</f>
        <v>42030.184293279468</v>
      </c>
      <c r="E25" s="13"/>
      <c r="F25" s="13"/>
      <c r="G25" s="13"/>
    </row>
    <row r="26" spans="1:7">
      <c r="A26" s="7" t="s">
        <v>68</v>
      </c>
      <c r="B26" s="33"/>
      <c r="C26" s="33"/>
      <c r="D26" s="27">
        <f>'CO2'!G19</f>
        <v>35348.158915730302</v>
      </c>
      <c r="E26" s="13"/>
      <c r="F26" s="13"/>
      <c r="G26" s="13"/>
    </row>
    <row r="27" spans="1:7">
      <c r="A27" s="7" t="s">
        <v>70</v>
      </c>
      <c r="B27" s="33"/>
      <c r="C27" s="33"/>
      <c r="D27" s="27" t="str">
        <f>'CO2'!G20</f>
        <v>None</v>
      </c>
      <c r="E27" s="13"/>
      <c r="F27" s="13"/>
      <c r="G27" s="13"/>
    </row>
    <row r="30" spans="1:7">
      <c r="A30" s="7" t="s">
        <v>101</v>
      </c>
      <c r="B30" s="12">
        <f>SUM(G6 + G13 + G21 + D25)</f>
        <v>43437.661793279469</v>
      </c>
      <c r="C30" s="13"/>
      <c r="D30" s="13"/>
      <c r="E30" s="13"/>
      <c r="F30" s="13"/>
      <c r="G30" s="13"/>
    </row>
    <row r="32" spans="1:7">
      <c r="A32" s="29" t="s">
        <v>102</v>
      </c>
      <c r="B32" s="13"/>
      <c r="C32" s="13"/>
      <c r="D32" s="13"/>
      <c r="E32" s="13"/>
      <c r="F32" s="13"/>
      <c r="G32" s="13"/>
    </row>
  </sheetData>
  <pageMargins left="0" right="0" top="0" bottom="0" header="0" footer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Guest User</cp:lastModifiedBy>
  <cp:revision/>
  <dcterms:created xsi:type="dcterms:W3CDTF">2017-07-10T16:48:54Z</dcterms:created>
  <dcterms:modified xsi:type="dcterms:W3CDTF">2018-03-12T14:32:17Z</dcterms:modified>
  <cp:category/>
  <cp:contentStatus/>
</cp:coreProperties>
</file>